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ocuments\Croquet NW Fed League Manager\2023\Score Sheets\"/>
    </mc:Choice>
  </mc:AlternateContent>
  <xr:revisionPtr revIDLastSave="0" documentId="13_ncr:1_{E3D17AEC-E62F-413A-9E51-0AF6B4B9E6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ore sheet" sheetId="1" r:id="rId1"/>
    <sheet name="Results for rankings" sheetId="3" r:id="rId2"/>
    <sheet name="HCTables" sheetId="2" state="hidden" r:id="rId3"/>
  </sheets>
  <definedNames>
    <definedName name="Game1">'Score sheet'!$G$16</definedName>
    <definedName name="Game2">'Score sheet'!$G$17</definedName>
    <definedName name="Game3">'Score sheet'!$G$18</definedName>
    <definedName name="Game4">'Score sheet'!$G$19</definedName>
    <definedName name="Game5">'Score sheet'!$G$20</definedName>
    <definedName name="Game6">'Score sheet'!$G$21</definedName>
    <definedName name="Game7">'Score sheet'!$G$22</definedName>
    <definedName name="Game8">'Score sheet'!$G$23</definedName>
    <definedName name="Game9">'Score sheet'!$G$24</definedName>
    <definedName name="Handicaps">HCTables!$B$3:$B$26</definedName>
    <definedName name="HcIndex">HCTables!$B$3:$C$32</definedName>
    <definedName name="Hcp_1">'Score sheet'!$D$8</definedName>
    <definedName name="Hcp_2">'Score sheet'!$D$9</definedName>
    <definedName name="Hcp_3">'Score sheet'!$D$10</definedName>
    <definedName name="Hcp_4">'Score sheet'!$G$8</definedName>
    <definedName name="Hcp_5">'Score sheet'!$G$9</definedName>
    <definedName name="Hcp_6">'Score sheet'!$G$10</definedName>
    <definedName name="Hpoints">HCTables!$F$3:$H$25</definedName>
    <definedName name="Player_1">'Score sheet'!$B$8</definedName>
    <definedName name="Player_2">'Score sheet'!$B$9</definedName>
    <definedName name="Player_3">'Score sheet'!$B$10</definedName>
    <definedName name="Player_4">'Score sheet'!$E$8</definedName>
    <definedName name="Player_5">'Score sheet'!$E$9</definedName>
    <definedName name="Player_6">'Score sheet'!$E$10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" l="1"/>
  <c r="I16" i="1"/>
  <c r="I18" i="1"/>
  <c r="I20" i="1"/>
  <c r="I21" i="1"/>
  <c r="I25" i="1"/>
  <c r="I15" i="1"/>
  <c r="I17" i="1"/>
  <c r="I19" i="1"/>
  <c r="I22" i="1"/>
  <c r="I23" i="1"/>
  <c r="D29" i="1"/>
  <c r="B9" i="3" s="1"/>
  <c r="G29" i="1"/>
  <c r="D38" i="1"/>
  <c r="G38" i="1" s="1"/>
  <c r="D33" i="1"/>
  <c r="G33" i="1" s="1"/>
  <c r="D37" i="1"/>
  <c r="G37" i="1"/>
  <c r="D35" i="1"/>
  <c r="G35" i="1" s="1"/>
  <c r="D39" i="1"/>
  <c r="G39" i="1" s="1"/>
  <c r="D34" i="1"/>
  <c r="G34" i="1"/>
  <c r="D32" i="1"/>
  <c r="M6" i="1" s="1"/>
  <c r="D36" i="1"/>
  <c r="G36" i="1" s="1"/>
  <c r="D40" i="1"/>
  <c r="G40" i="1" s="1"/>
  <c r="D41" i="1"/>
  <c r="G41" i="1"/>
  <c r="M19" i="1"/>
  <c r="J19" i="1"/>
  <c r="M9" i="1"/>
  <c r="J9" i="1"/>
  <c r="F41" i="1"/>
  <c r="C41" i="1"/>
  <c r="F26" i="1"/>
  <c r="C26" i="1"/>
  <c r="C24" i="1"/>
  <c r="D26" i="1"/>
  <c r="D24" i="1"/>
  <c r="C17" i="1"/>
  <c r="C16" i="1"/>
  <c r="J18" i="1"/>
  <c r="J17" i="1"/>
  <c r="J7" i="1"/>
  <c r="J6" i="1"/>
  <c r="J16" i="1"/>
  <c r="J8" i="1"/>
  <c r="B20" i="3"/>
  <c r="B19" i="3"/>
  <c r="B18" i="3"/>
  <c r="B17" i="3"/>
  <c r="B16" i="3"/>
  <c r="B15" i="3"/>
  <c r="B14" i="3"/>
  <c r="B13" i="3"/>
  <c r="B12" i="3"/>
  <c r="B8" i="3"/>
  <c r="F23" i="1"/>
  <c r="F19" i="1"/>
  <c r="F18" i="1"/>
  <c r="F22" i="1"/>
  <c r="F21" i="1"/>
  <c r="F17" i="1"/>
  <c r="F24" i="1"/>
  <c r="F20" i="1"/>
  <c r="F16" i="1"/>
  <c r="C40" i="1"/>
  <c r="F38" i="1"/>
  <c r="F37" i="1"/>
  <c r="F33" i="1"/>
  <c r="F39" i="1"/>
  <c r="F35" i="1"/>
  <c r="F34" i="1"/>
  <c r="F40" i="1"/>
  <c r="F36" i="1"/>
  <c r="F32" i="1"/>
  <c r="C37" i="1"/>
  <c r="C34" i="1"/>
  <c r="C39" i="1"/>
  <c r="C36" i="1"/>
  <c r="C33" i="1"/>
  <c r="C38" i="1"/>
  <c r="C35" i="1"/>
  <c r="C32" i="1"/>
  <c r="C21" i="1"/>
  <c r="C18" i="1"/>
  <c r="C23" i="1"/>
  <c r="C20" i="1"/>
  <c r="C22" i="1"/>
  <c r="C19" i="1"/>
  <c r="J14" i="1"/>
  <c r="J4" i="1"/>
  <c r="D23" i="1"/>
  <c r="D22" i="1"/>
  <c r="D21" i="1"/>
  <c r="D20" i="1"/>
  <c r="D19" i="1"/>
  <c r="D17" i="1"/>
  <c r="D18" i="1"/>
  <c r="D16" i="1"/>
  <c r="F29" i="1"/>
  <c r="C29" i="1"/>
  <c r="C31" i="2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C15" i="2" s="1"/>
  <c r="C14" i="2" s="1"/>
  <c r="C13" i="2" s="1"/>
  <c r="C12" i="2" s="1"/>
  <c r="C11" i="2" s="1"/>
  <c r="C10" i="2" s="1"/>
  <c r="C9" i="2" s="1"/>
  <c r="C8" i="2" s="1"/>
  <c r="C7" i="2" s="1"/>
  <c r="C6" i="2" s="1"/>
  <c r="C5" i="2" s="1"/>
  <c r="C4" i="2" s="1"/>
  <c r="C3" i="2" s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M16" i="1" l="1"/>
  <c r="M17" i="1"/>
  <c r="G32" i="1"/>
  <c r="M18" i="1" s="1"/>
  <c r="M7" i="1"/>
  <c r="M8" i="1"/>
  <c r="M10" i="1" l="1"/>
  <c r="M11" i="1" s="1"/>
  <c r="M20" i="1"/>
  <c r="M21" i="1" s="1"/>
</calcChain>
</file>

<file path=xl/sharedStrings.xml><?xml version="1.0" encoding="utf-8"?>
<sst xmlns="http://schemas.openxmlformats.org/spreadsheetml/2006/main" count="42" uniqueCount="36">
  <si>
    <t>Games</t>
  </si>
  <si>
    <t>Index
change</t>
  </si>
  <si>
    <t>Team index change</t>
  </si>
  <si>
    <t>Hcp</t>
  </si>
  <si>
    <t>Index</t>
  </si>
  <si>
    <t>Steps</t>
  </si>
  <si>
    <t>Hcp diff</t>
  </si>
  <si>
    <t>Lose</t>
  </si>
  <si>
    <t>Win</t>
  </si>
  <si>
    <t>Game</t>
  </si>
  <si>
    <t>Player</t>
  </si>
  <si>
    <t>Enter data in the highligted areas.</t>
  </si>
  <si>
    <t>Index change</t>
  </si>
  <si>
    <t>Missing hcp</t>
  </si>
  <si>
    <t>League bonus points ?</t>
  </si>
  <si>
    <t>Select 4 Singles Games as appropriate:</t>
  </si>
  <si>
    <t>Doubles Game:</t>
  </si>
  <si>
    <t>Doubles Pairings:</t>
  </si>
  <si>
    <t>Home side:</t>
  </si>
  <si>
    <t>Away side:</t>
  </si>
  <si>
    <t>Date:</t>
  </si>
  <si>
    <t>Home players:</t>
  </si>
  <si>
    <t>Away players:</t>
  </si>
  <si>
    <t>Hcp:</t>
  </si>
  <si>
    <t>Result:</t>
  </si>
  <si>
    <t>Net Score:</t>
  </si>
  <si>
    <t>League Bonus Points:</t>
  </si>
  <si>
    <t>Only awarded to Losing Teams.</t>
  </si>
  <si>
    <t>Games 5 (4 for Rankings)</t>
  </si>
  <si>
    <r>
      <t xml:space="preserve">Report for CA rankings officer - </t>
    </r>
    <r>
      <rPr>
        <b/>
        <i/>
        <sz val="12"/>
        <color indexed="8"/>
        <rFont val="Calibri"/>
        <family val="2"/>
      </rPr>
      <t>just copy and paste</t>
    </r>
  </si>
  <si>
    <t>To:</t>
  </si>
  <si>
    <t>Chris Williams, CA Rankings Officer</t>
  </si>
  <si>
    <t>(Format - 1 doubles and 4 Singles)</t>
  </si>
  <si>
    <t>TP, etc</t>
  </si>
  <si>
    <t>Please report the result AND send a copy of the scoresheet along with this completed spreadsheet to results@croquetnw.co.uk</t>
  </si>
  <si>
    <r>
      <t xml:space="preserve">NW Federation B LEVEL Adv League  </t>
    </r>
    <r>
      <rPr>
        <b/>
        <sz val="8"/>
        <color theme="1"/>
        <rFont val="Calibri"/>
        <family val="2"/>
        <scheme val="minor"/>
      </rPr>
      <t>v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</si>
</sst>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2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/>
    <xf numFmtId="0" fontId="3" fillId="0" borderId="4" xfId="2" applyFont="1" applyBorder="1"/>
    <xf numFmtId="0" fontId="1" fillId="0" borderId="5" xfId="2" applyBorder="1"/>
    <xf numFmtId="0" fontId="3" fillId="0" borderId="6" xfId="2" applyFont="1" applyBorder="1"/>
    <xf numFmtId="0" fontId="1" fillId="0" borderId="7" xfId="2" applyBorder="1"/>
    <xf numFmtId="0" fontId="1" fillId="0" borderId="8" xfId="2" applyBorder="1"/>
    <xf numFmtId="0" fontId="11" fillId="0" borderId="0" xfId="0" applyFont="1"/>
    <xf numFmtId="0" fontId="12" fillId="0" borderId="0" xfId="0" applyFont="1"/>
    <xf numFmtId="0" fontId="10" fillId="0" borderId="9" xfId="0" applyFont="1" applyBorder="1"/>
    <xf numFmtId="0" fontId="0" fillId="0" borderId="10" xfId="0" applyBorder="1"/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" fontId="4" fillId="0" borderId="0" xfId="2" applyNumberFormat="1" applyFont="1" applyAlignment="1">
      <alignment horizontal="center"/>
    </xf>
    <xf numFmtId="1" fontId="0" fillId="0" borderId="5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4" xfId="0" applyBorder="1"/>
    <xf numFmtId="1" fontId="10" fillId="0" borderId="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16" xfId="0" applyFont="1" applyBorder="1" applyProtection="1">
      <protection locked="0"/>
    </xf>
    <xf numFmtId="0" fontId="10" fillId="0" borderId="17" xfId="0" applyFont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4" fillId="0" borderId="9" xfId="0" applyFont="1" applyBorder="1"/>
    <xf numFmtId="0" fontId="15" fillId="0" borderId="19" xfId="0" applyFont="1" applyBorder="1"/>
    <xf numFmtId="0" fontId="15" fillId="0" borderId="1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2" xfId="0" applyFont="1" applyBorder="1"/>
    <xf numFmtId="0" fontId="16" fillId="0" borderId="3" xfId="0" applyFont="1" applyBorder="1"/>
    <xf numFmtId="0" fontId="16" fillId="0" borderId="6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1" fontId="5" fillId="0" borderId="0" xfId="2" applyNumberFormat="1" applyFont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9" xfId="0" applyFont="1" applyBorder="1" applyAlignment="1">
      <alignment horizontal="center"/>
    </xf>
    <xf numFmtId="1" fontId="5" fillId="0" borderId="20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1" fontId="5" fillId="0" borderId="22" xfId="2" applyNumberFormat="1" applyFont="1" applyBorder="1" applyAlignment="1">
      <alignment horizontal="center"/>
    </xf>
    <xf numFmtId="1" fontId="5" fillId="0" borderId="23" xfId="2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4" xfId="0" applyFont="1" applyBorder="1"/>
    <xf numFmtId="0" fontId="18" fillId="0" borderId="14" xfId="0" applyFont="1" applyBorder="1"/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49" fontId="0" fillId="2" borderId="14" xfId="0" applyNumberForma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1" applyAlignment="1" applyProtection="1"/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2" borderId="14" xfId="0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Handicap card 06" xfId="2" xr:uid="{00000000-0005-0000-0000-000002000000}"/>
  </cellStyles>
  <dxfs count="10">
    <dxf>
      <fill>
        <patternFill patternType="gray125">
          <fgColor theme="9" tint="-0.24994659260841701"/>
          <bgColor theme="0"/>
        </patternFill>
      </fill>
    </dxf>
    <dxf>
      <fill>
        <patternFill patternType="gray125">
          <fgColor theme="9" tint="-0.24994659260841701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fgColor theme="9" tint="-0.24994659260841701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ults@croquetnw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2:M43"/>
  <sheetViews>
    <sheetView showGridLines="0" showRowColHeaders="0" tabSelected="1" zoomScaleNormal="100" workbookViewId="0">
      <selection activeCell="C16" sqref="C16"/>
    </sheetView>
  </sheetViews>
  <sheetFormatPr defaultColWidth="8.85546875" defaultRowHeight="15" x14ac:dyDescent="0.25"/>
  <cols>
    <col min="1" max="1" width="4.7109375" customWidth="1"/>
    <col min="2" max="2" width="7.7109375" customWidth="1"/>
    <col min="3" max="3" width="26.85546875" customWidth="1"/>
    <col min="4" max="4" width="9.85546875" customWidth="1"/>
    <col min="5" max="5" width="7.7109375" customWidth="1"/>
    <col min="6" max="6" width="26.85546875" customWidth="1"/>
    <col min="7" max="7" width="9.85546875" customWidth="1"/>
    <col min="8" max="8" width="4.7109375" style="1" customWidth="1"/>
    <col min="9" max="9" width="13.140625" customWidth="1"/>
    <col min="10" max="12" width="7.42578125" customWidth="1"/>
    <col min="13" max="13" width="13.140625" customWidth="1"/>
    <col min="14" max="16" width="7.42578125" customWidth="1"/>
  </cols>
  <sheetData>
    <row r="2" spans="2:13" ht="18.75" x14ac:dyDescent="0.3">
      <c r="B2" s="16" t="s">
        <v>35</v>
      </c>
      <c r="F2" s="17" t="s">
        <v>11</v>
      </c>
    </row>
    <row r="3" spans="2:13" ht="15.75" thickBot="1" x14ac:dyDescent="0.3"/>
    <row r="4" spans="2:13" x14ac:dyDescent="0.25">
      <c r="B4" s="18" t="s">
        <v>18</v>
      </c>
      <c r="C4" s="19"/>
      <c r="E4" s="18" t="s">
        <v>19</v>
      </c>
      <c r="F4" s="19"/>
      <c r="G4" s="40" t="s">
        <v>20</v>
      </c>
      <c r="J4" s="93" t="str">
        <f>IF(ISBLANK(B5),"Home side",B5)</f>
        <v>Home side</v>
      </c>
      <c r="K4" s="94"/>
      <c r="L4" s="94"/>
      <c r="M4" s="95"/>
    </row>
    <row r="5" spans="2:13" ht="30" x14ac:dyDescent="0.25">
      <c r="B5" s="88"/>
      <c r="C5" s="89"/>
      <c r="E5" s="88"/>
      <c r="F5" s="89"/>
      <c r="G5" s="41"/>
      <c r="J5" s="96" t="s">
        <v>10</v>
      </c>
      <c r="K5" s="97"/>
      <c r="L5" s="97"/>
      <c r="M5" s="20" t="s">
        <v>1</v>
      </c>
    </row>
    <row r="6" spans="2:13" x14ac:dyDescent="0.25">
      <c r="B6" s="21"/>
      <c r="C6" s="21"/>
      <c r="E6" s="21"/>
      <c r="F6" s="21"/>
      <c r="J6" s="78" t="str">
        <f>IF(ISERROR(IF(ISBLANK(Player_1),"A",LEFT(Player_1,FIND(" ",Player_1)-1))),Player_1,IF(ISBLANK(Player_1),"A",LEFT(Player_1,FIND(" ",Player_1)-1)))</f>
        <v>A</v>
      </c>
      <c r="K6" s="79"/>
      <c r="L6" s="79"/>
      <c r="M6" s="28">
        <f>SUM(D32,D35,D38)</f>
        <v>0</v>
      </c>
    </row>
    <row r="7" spans="2:13" x14ac:dyDescent="0.25">
      <c r="B7" s="90" t="s">
        <v>21</v>
      </c>
      <c r="C7" s="91"/>
      <c r="D7" s="22" t="s">
        <v>3</v>
      </c>
      <c r="E7" s="90" t="s">
        <v>22</v>
      </c>
      <c r="F7" s="91"/>
      <c r="G7" s="22" t="s">
        <v>23</v>
      </c>
      <c r="J7" s="78" t="str">
        <f>IF(ISERROR(IF(ISBLANK(Player_2),"B",LEFT(Player_2,FIND(" ",Player_2)-1))),Player_2,IF(ISBLANK(Player_2),"B",LEFT(Player_2,FIND(" ",Player_2)-1)))</f>
        <v>B</v>
      </c>
      <c r="K7" s="79"/>
      <c r="L7" s="79"/>
      <c r="M7" s="28">
        <f>SUM(D33,D36,D39)</f>
        <v>0</v>
      </c>
    </row>
    <row r="8" spans="2:13" x14ac:dyDescent="0.25">
      <c r="B8" s="92"/>
      <c r="C8" s="92"/>
      <c r="D8" s="32"/>
      <c r="E8" s="92"/>
      <c r="F8" s="92"/>
      <c r="G8" s="32"/>
      <c r="J8" s="78" t="str">
        <f>IF(ISERROR(IF(ISBLANK(Player_3),"C",LEFT(Player_3,FIND(" ",Player_3)-1))),Player_3,IF(ISBLANK(Player_3),"C",LEFT(Player_3,FIND(" ",Player_3)-1)))</f>
        <v>C</v>
      </c>
      <c r="K8" s="79"/>
      <c r="L8" s="79"/>
      <c r="M8" s="28">
        <f>SUM(D34,D37,D40)</f>
        <v>0</v>
      </c>
    </row>
    <row r="9" spans="2:13" x14ac:dyDescent="0.25">
      <c r="B9" s="92"/>
      <c r="C9" s="92"/>
      <c r="D9" s="32"/>
      <c r="E9" s="92"/>
      <c r="F9" s="92"/>
      <c r="G9" s="32"/>
      <c r="J9" s="78" t="str">
        <f>IF(ISERROR(IF(ISBLANK(B12),"D",LEFT(B12,FIND(" ",B12)-1))),B12,IF(ISBLANK(B12),"D",LEFT(B12,FIND(" ",B12)-1)))</f>
        <v>D</v>
      </c>
      <c r="K9" s="79"/>
      <c r="L9" s="79"/>
      <c r="M9" s="28">
        <f>SUM(D41)</f>
        <v>0</v>
      </c>
    </row>
    <row r="10" spans="2:13" x14ac:dyDescent="0.25">
      <c r="B10" s="92"/>
      <c r="C10" s="92"/>
      <c r="D10" s="32"/>
      <c r="E10" s="92"/>
      <c r="F10" s="92"/>
      <c r="G10" s="32"/>
      <c r="J10" s="80" t="s">
        <v>2</v>
      </c>
      <c r="K10" s="81"/>
      <c r="L10" s="81"/>
      <c r="M10" s="29">
        <f>SUM(M6:M8)</f>
        <v>0</v>
      </c>
    </row>
    <row r="11" spans="2:13" ht="15.75" thickBot="1" x14ac:dyDescent="0.3">
      <c r="B11" s="39" t="s">
        <v>17</v>
      </c>
      <c r="C11" s="37"/>
      <c r="D11" s="37"/>
      <c r="E11" s="37"/>
      <c r="F11" s="37"/>
      <c r="G11" s="38"/>
      <c r="J11" s="76" t="s">
        <v>14</v>
      </c>
      <c r="K11" s="77"/>
      <c r="L11" s="77"/>
      <c r="M11" s="30">
        <f>IF(M10&lt;10,0,IF(AND(M10&gt;9,M10&lt;20),1,IF(AND(M10&gt;19,M10&lt;100),2,)))</f>
        <v>0</v>
      </c>
    </row>
    <row r="12" spans="2:13" x14ac:dyDescent="0.25">
      <c r="B12" s="92"/>
      <c r="C12" s="92"/>
      <c r="D12" s="32"/>
      <c r="E12" s="92"/>
      <c r="F12" s="92"/>
      <c r="G12" s="32"/>
      <c r="J12" s="31"/>
      <c r="K12" s="31"/>
      <c r="L12" s="31"/>
      <c r="M12" s="31"/>
    </row>
    <row r="13" spans="2:13" ht="15.75" thickBot="1" x14ac:dyDescent="0.3"/>
    <row r="14" spans="2:13" ht="15.75" x14ac:dyDescent="0.25">
      <c r="B14" s="42" t="s">
        <v>0</v>
      </c>
      <c r="C14" s="23"/>
      <c r="D14" s="23"/>
      <c r="E14" s="23"/>
      <c r="F14" s="23"/>
      <c r="G14" s="23"/>
      <c r="H14" s="98" t="s">
        <v>33</v>
      </c>
      <c r="J14" s="93" t="str">
        <f>IF(ISBLANK(E5),"Away side",E5)</f>
        <v>Away side</v>
      </c>
      <c r="K14" s="94"/>
      <c r="L14" s="94"/>
      <c r="M14" s="95"/>
    </row>
    <row r="15" spans="2:13" ht="30.75" x14ac:dyDescent="0.3">
      <c r="B15" s="43" t="s">
        <v>15</v>
      </c>
      <c r="G15" s="72" t="s">
        <v>25</v>
      </c>
      <c r="H15" s="98"/>
      <c r="I15" s="24" t="str">
        <f>IF(ISBLANK(G16),"",IF(G16&gt;0,"H",IF(G16&lt;0,"A")))</f>
        <v/>
      </c>
      <c r="J15" s="96" t="s">
        <v>10</v>
      </c>
      <c r="K15" s="97"/>
      <c r="L15" s="97"/>
      <c r="M15" s="20" t="s">
        <v>1</v>
      </c>
    </row>
    <row r="16" spans="2:13" x14ac:dyDescent="0.25">
      <c r="B16" s="33">
        <v>1</v>
      </c>
      <c r="C16" s="34" t="str">
        <f>IF(ISBLANK(Player_1),"A",Player_1)</f>
        <v>A</v>
      </c>
      <c r="D16" s="75" t="str">
        <f>IF(Game1&gt;0,"beat",IF(Game1&lt;0,"lost to","v"))</f>
        <v>v</v>
      </c>
      <c r="E16" s="75"/>
      <c r="F16" s="34" t="str">
        <f>IF(ISBLANK(Player_6),"c",Player_6)</f>
        <v>c</v>
      </c>
      <c r="G16" s="32"/>
      <c r="H16" s="32"/>
      <c r="I16" s="24" t="str">
        <f t="shared" ref="I16:I25" si="0">IF(ISBLANK(G17),"",IF(G17&gt;0,"H",IF(G17&lt;0,"A")))</f>
        <v/>
      </c>
      <c r="J16" s="78" t="str">
        <f>IF(ISERROR(IF(ISBLANK(Player_4),"a",LEFT(Player_4,FIND(" ",Player_4)-1))),Player_4,IF(ISBLANK(Player_4),"a",LEFT(Player_4,FIND(" ",Player_4)-1)))</f>
        <v>a</v>
      </c>
      <c r="K16" s="79"/>
      <c r="L16" s="79"/>
      <c r="M16" s="28">
        <f>SUM(G33,G37,G38)</f>
        <v>0</v>
      </c>
    </row>
    <row r="17" spans="2:13" x14ac:dyDescent="0.25">
      <c r="B17" s="33">
        <v>2</v>
      </c>
      <c r="C17" s="34" t="str">
        <f>IF(ISBLANK(Player_2),"B",Player_2)</f>
        <v>B</v>
      </c>
      <c r="D17" s="75" t="str">
        <f>IF(Game2&gt;0,"beat",IF(Game2&lt;0,"lost to","v"))</f>
        <v>v</v>
      </c>
      <c r="E17" s="75"/>
      <c r="F17" s="34" t="str">
        <f>IF(ISBLANK(Player_4),"a",Player_4)</f>
        <v>a</v>
      </c>
      <c r="G17" s="32"/>
      <c r="H17" s="32"/>
      <c r="I17" s="24" t="str">
        <f t="shared" si="0"/>
        <v/>
      </c>
      <c r="J17" s="78" t="str">
        <f>IF(ISERROR(IF(ISBLANK(Player_5),"b",LEFT(Player_5,FIND(" ",Player_5)-1))),Player_5,IF(ISBLANK(Player_5),"b",LEFT(Player_5,FIND(" ",Player_5)-1)))</f>
        <v>b</v>
      </c>
      <c r="K17" s="79"/>
      <c r="L17" s="79"/>
      <c r="M17" s="28">
        <f>SUM(G34,G35,G39)</f>
        <v>0</v>
      </c>
    </row>
    <row r="18" spans="2:13" x14ac:dyDescent="0.25">
      <c r="B18" s="33">
        <v>3</v>
      </c>
      <c r="C18" s="34" t="str">
        <f>IF(ISBLANK(Player_3),"C",Player_3)</f>
        <v>C</v>
      </c>
      <c r="D18" s="75" t="str">
        <f>IF(Game3&gt;0,"beat",IF(Game3&lt;0,"lost to","v"))</f>
        <v>v</v>
      </c>
      <c r="E18" s="75"/>
      <c r="F18" s="34" t="str">
        <f>IF(ISBLANK(Player_5),"b",Player_5)</f>
        <v>b</v>
      </c>
      <c r="G18" s="32"/>
      <c r="H18" s="32"/>
      <c r="I18" s="24" t="str">
        <f t="shared" si="0"/>
        <v/>
      </c>
      <c r="J18" s="78" t="str">
        <f>IF(ISERROR(IF(ISBLANK(Player_6),"c",LEFT(Player_6,FIND(" ",Player_6)-1))),Player_6,IF(ISBLANK(Player_6),"c",LEFT(Player_6,FIND(" ",Player_6)-1)))</f>
        <v>c</v>
      </c>
      <c r="K18" s="79"/>
      <c r="L18" s="79"/>
      <c r="M18" s="28">
        <f>SUM(G32,G36,G40)</f>
        <v>0</v>
      </c>
    </row>
    <row r="19" spans="2:13" x14ac:dyDescent="0.25">
      <c r="B19" s="33">
        <v>4</v>
      </c>
      <c r="C19" s="34" t="str">
        <f>IF(ISBLANK(Player_1),"A",Player_1)</f>
        <v>A</v>
      </c>
      <c r="D19" s="75" t="str">
        <f>IF(Game4&gt;0,"beat",IF(Game4&lt;0,"lost to","v"))</f>
        <v>v</v>
      </c>
      <c r="E19" s="75"/>
      <c r="F19" s="34" t="str">
        <f>IF(ISBLANK(Player_5),"b",Player_5)</f>
        <v>b</v>
      </c>
      <c r="G19" s="32"/>
      <c r="H19" s="32"/>
      <c r="I19" s="24" t="str">
        <f t="shared" si="0"/>
        <v/>
      </c>
      <c r="J19" s="78" t="str">
        <f>IF(ISERROR(IF(ISBLANK(E12),"d",LEFT(E12,FIND(" ",E12)-1))),E12,IF(ISBLANK(E12),"d",LEFT(E12,FIND(" ",E12)-1)))</f>
        <v>d</v>
      </c>
      <c r="K19" s="79"/>
      <c r="L19" s="79"/>
      <c r="M19" s="28">
        <f>SUM(G41)</f>
        <v>0</v>
      </c>
    </row>
    <row r="20" spans="2:13" x14ac:dyDescent="0.25">
      <c r="B20" s="33">
        <v>5</v>
      </c>
      <c r="C20" s="34" t="str">
        <f>IF(ISBLANK(Player_2),"B",Player_2)</f>
        <v>B</v>
      </c>
      <c r="D20" s="75" t="str">
        <f>IF(Game5&gt;0,"beat",IF(Game5&lt;0,"lost to","v"))</f>
        <v>v</v>
      </c>
      <c r="E20" s="75"/>
      <c r="F20" s="34" t="str">
        <f>IF(ISBLANK(Player_6),"c",Player_6)</f>
        <v>c</v>
      </c>
      <c r="G20" s="32"/>
      <c r="H20" s="32"/>
      <c r="I20" s="24" t="str">
        <f t="shared" si="0"/>
        <v/>
      </c>
      <c r="J20" s="80" t="s">
        <v>2</v>
      </c>
      <c r="K20" s="81"/>
      <c r="L20" s="81"/>
      <c r="M20" s="35">
        <f>SUM(M16:M19)</f>
        <v>0</v>
      </c>
    </row>
    <row r="21" spans="2:13" ht="15.75" thickBot="1" x14ac:dyDescent="0.3">
      <c r="B21" s="33">
        <v>6</v>
      </c>
      <c r="C21" s="34" t="str">
        <f>IF(ISBLANK(Player_3),"C",Player_3)</f>
        <v>C</v>
      </c>
      <c r="D21" s="75" t="str">
        <f>IF(Game6&gt;0,"beat",IF(Game6&lt;0,"lost to","v"))</f>
        <v>v</v>
      </c>
      <c r="E21" s="75"/>
      <c r="F21" s="34" t="str">
        <f>IF(ISBLANK(Player_4),"a",Player_4)</f>
        <v>a</v>
      </c>
      <c r="G21" s="32"/>
      <c r="H21" s="32"/>
      <c r="I21" s="24" t="str">
        <f t="shared" si="0"/>
        <v/>
      </c>
      <c r="J21" s="76" t="s">
        <v>14</v>
      </c>
      <c r="K21" s="77"/>
      <c r="L21" s="77"/>
      <c r="M21" s="30">
        <f>IF(M20&lt;10,0,IF(AND(M20&gt;9,M20&lt;20),1,IF(AND(M20&gt;19,M20&lt;100),2)))</f>
        <v>0</v>
      </c>
    </row>
    <row r="22" spans="2:13" x14ac:dyDescent="0.25">
      <c r="B22" s="33">
        <v>7</v>
      </c>
      <c r="C22" s="34" t="str">
        <f>IF(ISBLANK(Player_1),"A",Player_1)</f>
        <v>A</v>
      </c>
      <c r="D22" s="75" t="str">
        <f>IF(Game7&gt;0,"beat",IF(Game7&lt;0,"lost to","v"))</f>
        <v>v</v>
      </c>
      <c r="E22" s="75"/>
      <c r="F22" s="34" t="str">
        <f>IF(ISBLANK(Player_4),"a",Player_4)</f>
        <v>a</v>
      </c>
      <c r="G22" s="32"/>
      <c r="H22" s="32"/>
      <c r="I22" s="24" t="str">
        <f t="shared" si="0"/>
        <v/>
      </c>
    </row>
    <row r="23" spans="2:13" ht="15.75" thickBot="1" x14ac:dyDescent="0.3">
      <c r="B23" s="33">
        <v>8</v>
      </c>
      <c r="C23" s="34" t="str">
        <f>IF(ISBLANK(Player_2),"B",Player_2)</f>
        <v>B</v>
      </c>
      <c r="D23" s="75" t="str">
        <f>IF(Game8&gt;0,"beat",IF(Game8&lt;0,"lost to","v"))</f>
        <v>v</v>
      </c>
      <c r="E23" s="75"/>
      <c r="F23" s="34" t="str">
        <f>IF(ISBLANK(Player_5),"b",Player_5)</f>
        <v>b</v>
      </c>
      <c r="G23" s="32"/>
      <c r="H23" s="32"/>
      <c r="I23" s="24" t="str">
        <f t="shared" si="0"/>
        <v/>
      </c>
    </row>
    <row r="24" spans="2:13" ht="18.75" x14ac:dyDescent="0.3">
      <c r="B24" s="33">
        <v>9</v>
      </c>
      <c r="C24" s="34" t="str">
        <f>IF(ISBLANK(Player_3),"C",Player_3)</f>
        <v>C</v>
      </c>
      <c r="D24" s="75" t="str">
        <f>IF(Game9&gt;0,"beat",IF(Game9&lt;0,"lost to","v"))</f>
        <v>v</v>
      </c>
      <c r="E24" s="75"/>
      <c r="F24" s="34" t="str">
        <f>IF(ISBLANK(Player_6),"c",Player_6)</f>
        <v>c</v>
      </c>
      <c r="G24" s="32"/>
      <c r="H24" s="32"/>
      <c r="J24" s="82" t="s">
        <v>26</v>
      </c>
      <c r="K24" s="83"/>
      <c r="L24" s="83"/>
      <c r="M24" s="84"/>
    </row>
    <row r="25" spans="2:13" ht="19.5" thickBot="1" x14ac:dyDescent="0.35">
      <c r="B25" s="44" t="s">
        <v>16</v>
      </c>
      <c r="C25" s="36"/>
      <c r="D25" s="36"/>
      <c r="E25" s="36"/>
      <c r="F25" s="1"/>
      <c r="G25" s="71"/>
      <c r="H25" s="32"/>
      <c r="I25" s="24" t="str">
        <f t="shared" si="0"/>
        <v/>
      </c>
      <c r="J25" s="85" t="s">
        <v>27</v>
      </c>
      <c r="K25" s="86"/>
      <c r="L25" s="86"/>
      <c r="M25" s="87"/>
    </row>
    <row r="26" spans="2:13" x14ac:dyDescent="0.25">
      <c r="B26" s="33">
        <v>10</v>
      </c>
      <c r="C26" s="34" t="str">
        <f>IF(ISBLANK(B12),"D",B12)</f>
        <v>D</v>
      </c>
      <c r="D26" s="75" t="str">
        <f>IF(G26&gt;0,"beat",IF(G26&lt;0,"lost to","v"))</f>
        <v>v</v>
      </c>
      <c r="E26" s="75"/>
      <c r="F26" s="34" t="str">
        <f>IF(ISBLANK(E12),"d",E12)</f>
        <v>d</v>
      </c>
      <c r="G26" s="32"/>
      <c r="H26" s="32"/>
    </row>
    <row r="27" spans="2:13" ht="15.75" thickBot="1" x14ac:dyDescent="0.3"/>
    <row r="28" spans="2:13" ht="18.75" x14ac:dyDescent="0.3">
      <c r="B28" s="45" t="s">
        <v>24</v>
      </c>
      <c r="C28" s="46"/>
      <c r="D28" s="46"/>
      <c r="E28" s="46"/>
      <c r="F28" s="46"/>
      <c r="G28" s="47"/>
      <c r="J28" s="74"/>
      <c r="K28" s="74"/>
      <c r="L28" s="74"/>
      <c r="M28" s="74"/>
    </row>
    <row r="29" spans="2:13" ht="19.5" thickBot="1" x14ac:dyDescent="0.35">
      <c r="B29" s="48"/>
      <c r="C29" s="50" t="str">
        <f>IF(B5="","Home side",B5)</f>
        <v>Home side</v>
      </c>
      <c r="D29" s="51">
        <f>COUNTIF(I15:I25,"H")</f>
        <v>0</v>
      </c>
      <c r="E29" s="52"/>
      <c r="F29" s="50" t="str">
        <f>IF(E5="","Away side",E5)</f>
        <v>Away side</v>
      </c>
      <c r="G29" s="49">
        <f>COUNTIF(I15:I25,"A")</f>
        <v>0</v>
      </c>
      <c r="J29" s="74"/>
      <c r="K29" s="74"/>
      <c r="L29" s="74"/>
      <c r="M29" s="74"/>
    </row>
    <row r="30" spans="2:13" x14ac:dyDescent="0.25">
      <c r="B30" s="25" t="s">
        <v>13</v>
      </c>
      <c r="C30" s="26"/>
      <c r="D30" s="26"/>
      <c r="F30" s="26"/>
      <c r="G30" s="26"/>
      <c r="J30" s="74"/>
      <c r="K30" s="74"/>
      <c r="L30" s="74"/>
      <c r="M30" s="74"/>
    </row>
    <row r="31" spans="2:13" x14ac:dyDescent="0.25">
      <c r="B31" s="54" t="s">
        <v>9</v>
      </c>
      <c r="C31" s="55"/>
      <c r="D31" s="63" t="s">
        <v>12</v>
      </c>
      <c r="E31" s="55"/>
      <c r="F31" s="55"/>
      <c r="G31" s="62" t="s">
        <v>12</v>
      </c>
      <c r="J31" s="74"/>
      <c r="K31" s="74"/>
      <c r="L31" s="74"/>
      <c r="M31" s="74"/>
    </row>
    <row r="32" spans="2:13" x14ac:dyDescent="0.25">
      <c r="B32" s="56">
        <v>1</v>
      </c>
      <c r="C32" s="17" t="str">
        <f>IF(ISBLANK(Player_1),"A",Player_1)&amp;" ("&amp;Hcp_1&amp;")"</f>
        <v>A ()</v>
      </c>
      <c r="D32" s="53">
        <f>IF(Game1=0,0,IF(OR(Hcp_1="Hcp",ISBLANK(Hcp_1),Hcp_6="Hcp",ISBLANK(Hcp_6)),B30,IF(Game1&lt;0,VLOOKUP(MAX(MIN(((VLOOKUP(Hcp_6,HcIndex,2,FALSE))-VLOOKUP(Hcp_1,HcIndex,2,FALSE))/50,11),-11),Hpoints,2,FALSE),VLOOKUP(MAX(MIN(((VLOOKUP(Hcp_6,HcIndex,2,FALSE))-VLOOKUP(Hcp_1,HcIndex,2,FALSE))/50,11),-11),Hpoints,3,FALSE))))</f>
        <v>0</v>
      </c>
      <c r="E32" s="17"/>
      <c r="F32" s="17" t="str">
        <f>IF(ISBLANK(Player_6),"c",Player_6)&amp;" ("&amp;Hcp_6&amp;")"</f>
        <v>c ()</v>
      </c>
      <c r="G32" s="57">
        <f>IF(D32=B30,D32,-D32)</f>
        <v>0</v>
      </c>
      <c r="I32" s="27"/>
      <c r="J32" s="74"/>
      <c r="K32" s="74"/>
      <c r="L32" s="74"/>
      <c r="M32" s="74"/>
    </row>
    <row r="33" spans="2:13" x14ac:dyDescent="0.25">
      <c r="B33" s="56">
        <v>2</v>
      </c>
      <c r="C33" s="17" t="str">
        <f>IF(ISBLANK(Player_2),"B",Player_2)&amp;" ("&amp;Hcp_2&amp;")"</f>
        <v>B ()</v>
      </c>
      <c r="D33" s="53">
        <f>IF(Game2=0,0,IF(OR(Hcp_2="Hcp",ISBLANK(Hcp_2),Hcp_4="Hcp",ISBLANK(Hcp_4)),B30,IF(Game2&lt;0,VLOOKUP(MAX(MIN(((VLOOKUP(Hcp_4,HcIndex,2,FALSE))-VLOOKUP(Hcp_2,HcIndex,2,FALSE))/50,11),-11),Hpoints,2,FALSE),VLOOKUP(MAX(MIN(((VLOOKUP(Hcp_4,HcIndex,2,FALSE))-VLOOKUP(Hcp_2,HcIndex,2,FALSE))/50,11),-11),Hpoints,3,FALSE))))</f>
        <v>0</v>
      </c>
      <c r="E33" s="17"/>
      <c r="F33" s="17" t="str">
        <f>IF(ISBLANK(Player_4),"a",Player_4)&amp;" ("&amp;Hcp_4&amp;")"</f>
        <v>a ()</v>
      </c>
      <c r="G33" s="57">
        <f>IF(D33=B30,D33,-D33)</f>
        <v>0</v>
      </c>
      <c r="J33" s="74"/>
      <c r="K33" s="74"/>
      <c r="L33" s="74"/>
      <c r="M33" s="74"/>
    </row>
    <row r="34" spans="2:13" x14ac:dyDescent="0.25">
      <c r="B34" s="56">
        <v>3</v>
      </c>
      <c r="C34" s="17" t="str">
        <f>IF(ISBLANK(Player_3),"C",Player_3)&amp;" ("&amp;Hcp_3&amp;")"</f>
        <v>C ()</v>
      </c>
      <c r="D34" s="53">
        <f>IF(Game3=0,0,IF(OR(Hcp_3="Hcp",ISBLANK(Hcp_3),Hcp_5="Hcp",ISBLANK(Hcp_5)),B30,IF(Game3&lt;0,VLOOKUP(MAX(MIN(((VLOOKUP(Hcp_5,HcIndex,2,FALSE))-VLOOKUP(Hcp_3,HcIndex,2,FALSE))/50,11),-11),Hpoints,2,FALSE),VLOOKUP(MAX(MIN(((VLOOKUP(Hcp_5,HcIndex,2,FALSE))-VLOOKUP(Hcp_3,HcIndex,2,FALSE))/50,11),-11),Hpoints,3,FALSE))))</f>
        <v>0</v>
      </c>
      <c r="E34" s="17"/>
      <c r="F34" s="17" t="str">
        <f>IF(ISBLANK(Player_5),"b",Player_5)&amp;" ("&amp;Hcp_5&amp;")"</f>
        <v>b ()</v>
      </c>
      <c r="G34" s="57">
        <f>IF(D34=B30,D34,-D34)</f>
        <v>0</v>
      </c>
      <c r="I34" s="27"/>
    </row>
    <row r="35" spans="2:13" x14ac:dyDescent="0.25">
      <c r="B35" s="56">
        <v>4</v>
      </c>
      <c r="C35" s="17" t="str">
        <f>IF(ISBLANK(Player_1),"A",Player_1)&amp;" ("&amp;Hcp_1&amp;")"</f>
        <v>A ()</v>
      </c>
      <c r="D35" s="53">
        <f>IF(Game4=0,0,IF(OR(Hcp_1="Hcp",ISBLANK(Hcp_1),Hcp_5="Hcp",ISBLANK(Hcp_5)),B30,IF(Game4&lt;0,VLOOKUP(MAX(MIN(((VLOOKUP(Hcp_5,HcIndex,2,FALSE))-VLOOKUP(Hcp_1,HcIndex,2,FALSE))/50,11),-11),Hpoints,2,FALSE),VLOOKUP(MAX(MIN(((VLOOKUP(Hcp_5,HcIndex,2,FALSE))-VLOOKUP(Hcp_1,HcIndex,2,FALSE))/50,11),-11),Hpoints,3,FALSE))))</f>
        <v>0</v>
      </c>
      <c r="E35" s="17"/>
      <c r="F35" s="17" t="str">
        <f>IF(ISBLANK(Player_5),"b",Player_5)&amp;" ("&amp;Hcp_5&amp;")"</f>
        <v>b ()</v>
      </c>
      <c r="G35" s="57">
        <f>IF(D35=B30,D35,-D35)</f>
        <v>0</v>
      </c>
    </row>
    <row r="36" spans="2:13" x14ac:dyDescent="0.25">
      <c r="B36" s="56">
        <v>5</v>
      </c>
      <c r="C36" s="17" t="str">
        <f>IF(ISBLANK(Player_2),"B",Player_2)&amp;" ("&amp;Hcp_2&amp;")"</f>
        <v>B ()</v>
      </c>
      <c r="D36" s="53">
        <f>IF(Game5=0,0,IF(OR(Hcp_2="Hcp",ISBLANK(Hcp_2),Hcp_6="Hcp",ISBLANK(Hcp_6)),B30,IF(Game5&lt;0,VLOOKUP(MAX(MIN(((VLOOKUP(Hcp_6,HcIndex,2,FALSE))-VLOOKUP(Hcp_2,HcIndex,2,FALSE))/50,11),-11),Hpoints,2,FALSE),VLOOKUP(MAX(MIN(((VLOOKUP(Hcp_6,HcIndex,2,FALSE))-VLOOKUP(Hcp_2,HcIndex,2,FALSE))/50,11),-11),Hpoints,3,FALSE))))</f>
        <v>0</v>
      </c>
      <c r="E36" s="17"/>
      <c r="F36" s="17" t="str">
        <f>IF(ISBLANK(Player_6),"c",Player_6)&amp;" ("&amp;Hcp_6&amp;")"</f>
        <v>c ()</v>
      </c>
      <c r="G36" s="57">
        <f>IF(D36=B30,D36,-D36)</f>
        <v>0</v>
      </c>
    </row>
    <row r="37" spans="2:13" x14ac:dyDescent="0.25">
      <c r="B37" s="56">
        <v>6</v>
      </c>
      <c r="C37" s="17" t="str">
        <f>IF(ISBLANK(Player_3),"C",Player_3)&amp;" ("&amp;Hcp_3&amp;")"</f>
        <v>C ()</v>
      </c>
      <c r="D37" s="53">
        <f>IF(Game6=0,0,IF(OR(Hcp_3="Hcp",ISBLANK(Hcp_3),Hcp_4="Hcp",ISBLANK(Hcp_4)),B30,IF(Game6&lt;0,VLOOKUP(MAX(MIN(((VLOOKUP(Hcp_4,HcIndex,2,FALSE))-VLOOKUP(Hcp_3,HcIndex,2,FALSE))/50,11),-11),Hpoints,2,FALSE),VLOOKUP(MAX(MIN(((VLOOKUP(Hcp_4,HcIndex,2,FALSE))-VLOOKUP(Hcp_3,HcIndex,2,FALSE))/50,11),-11),Hpoints,3,FALSE))))</f>
        <v>0</v>
      </c>
      <c r="E37" s="17"/>
      <c r="F37" s="17" t="str">
        <f>IF(ISBLANK(Player_4),"a",Player_4)&amp;" ("&amp;Hcp_4&amp;")"</f>
        <v>a ()</v>
      </c>
      <c r="G37" s="57">
        <f>IF(D37=B30,D37,-D37)</f>
        <v>0</v>
      </c>
    </row>
    <row r="38" spans="2:13" x14ac:dyDescent="0.25">
      <c r="B38" s="56">
        <v>7</v>
      </c>
      <c r="C38" s="17" t="str">
        <f>IF(ISBLANK(Player_1),"A",Player_1)&amp;" ("&amp;Hcp_1&amp;")"</f>
        <v>A ()</v>
      </c>
      <c r="D38" s="53">
        <f>IF(Game7=0,0,IF(OR(Hcp_1="Hcp",ISBLANK(Hcp_1),Hcp_4="Hcp",ISBLANK(Hcp_4)),B30,IF(Game7&lt;0,VLOOKUP(MAX(MIN(((VLOOKUP(Hcp_4,HcIndex,2,FALSE))-VLOOKUP(Hcp_1,HcIndex,2,FALSE))/50,11),-11),Hpoints,2,FALSE),VLOOKUP(MAX(MIN(((VLOOKUP(Hcp_4,HcIndex,2,FALSE))-VLOOKUP(Hcp_1,HcIndex,2,FALSE))/50,11),-11),Hpoints,3,FALSE))))</f>
        <v>0</v>
      </c>
      <c r="E38" s="17"/>
      <c r="F38" s="17" t="str">
        <f>IF(ISBLANK(Player_4),"a",Player_4)&amp;" ("&amp;Hcp_4&amp;")"</f>
        <v>a ()</v>
      </c>
      <c r="G38" s="57">
        <f>IF(D38=B30,D38,-D38)</f>
        <v>0</v>
      </c>
    </row>
    <row r="39" spans="2:13" x14ac:dyDescent="0.25">
      <c r="B39" s="56">
        <v>8</v>
      </c>
      <c r="C39" s="17" t="str">
        <f>IF(ISBLANK(Player_2),"B",Player_2)&amp;" ("&amp;Hcp_2&amp;")"</f>
        <v>B ()</v>
      </c>
      <c r="D39" s="53">
        <f>IF(Game8=0,0,IF(OR(Hcp_2="Hcp",ISBLANK(Hcp_2),Hcp_5="Hcp",ISBLANK(Hcp_5)),B30,IF(Game8&lt;0,VLOOKUP(MAX(MIN(((VLOOKUP(Hcp_5,HcIndex,2,FALSE))-VLOOKUP(Hcp_2,HcIndex,2,FALSE))/50,11),-11),Hpoints,2,FALSE),VLOOKUP(MAX(MIN(((VLOOKUP(Hcp_5,HcIndex,2,FALSE))-VLOOKUP(Hcp_2,HcIndex,2,FALSE))/50,11),-11),Hpoints,3,FALSE))))</f>
        <v>0</v>
      </c>
      <c r="E39" s="17"/>
      <c r="F39" s="17" t="str">
        <f>IF(ISBLANK(Player_5),"b",Player_5)&amp;" ("&amp;Hcp_5&amp;")"</f>
        <v>b ()</v>
      </c>
      <c r="G39" s="57">
        <f>IF(D39=B30,D39,-D39)</f>
        <v>0</v>
      </c>
    </row>
    <row r="40" spans="2:13" x14ac:dyDescent="0.25">
      <c r="B40" s="56">
        <v>9</v>
      </c>
      <c r="C40" s="17" t="str">
        <f>IF(ISBLANK(Player_3),"C",Player_3)&amp;" ("&amp;Hcp_3&amp;")"</f>
        <v>C ()</v>
      </c>
      <c r="D40" s="53">
        <f>IF(Game9=0,0,IF(OR(Hcp_3="Hcp",ISBLANK(Hcp_3),Hcp_6="Hcp", ISBLANK(Hcp_6)),B30,IF(Game9&lt;0,VLOOKUP(MAX(MIN(((VLOOKUP(Hcp_6,HcIndex,2,FALSE))-VLOOKUP(Hcp_3,HcIndex,2,FALSE))/50,11),-11),Hpoints,2,FALSE),VLOOKUP(MAX(MIN(((VLOOKUP(Hcp_6,HcIndex,2,FALSE))-VLOOKUP(Hcp_3,HcIndex,2,FALSE))/50,11),-11),Hpoints,3,FALSE))))</f>
        <v>0</v>
      </c>
      <c r="E40" s="17"/>
      <c r="F40" s="17" t="str">
        <f>IF(ISBLANK(Player_6),"c",Player_6)&amp;" ("&amp;Hcp_6&amp;")"</f>
        <v>c ()</v>
      </c>
      <c r="G40" s="57">
        <f>IF(D40=B30,D40,-D40)</f>
        <v>0</v>
      </c>
    </row>
    <row r="41" spans="2:13" x14ac:dyDescent="0.25">
      <c r="B41" s="58">
        <v>10</v>
      </c>
      <c r="C41" s="59" t="str">
        <f>IF(ISBLANK(B12),"D",B12)&amp;" ("&amp;D12&amp;")"</f>
        <v>D ()</v>
      </c>
      <c r="D41" s="60">
        <f>IF(G26=0,0,IF(OR(D12="Hcp",ISBLANK(D12),G12="Hcp", ISBLANK(G12)),B30,IF(G26&lt;0,VLOOKUP(MAX(MIN(((VLOOKUP(G12,HcIndex,2,FALSE))-VLOOKUP(D12,HcIndex,2,FALSE))/50,11),-11),Hpoints,2,FALSE),VLOOKUP(MAX(MIN(((VLOOKUP(G12,HcIndex,2,FALSE))-VLOOKUP(D12,HcIndex,2,FALSE))/50,11),-11),Hpoints,3,FALSE))))</f>
        <v>0</v>
      </c>
      <c r="E41" s="59"/>
      <c r="F41" s="59" t="str">
        <f>IF(ISBLANK(E12),"d",E12)&amp;" ("&amp;G12&amp;")"</f>
        <v>d ()</v>
      </c>
      <c r="G41" s="61">
        <f>IF(D41=B30,D41,-D41)</f>
        <v>0</v>
      </c>
    </row>
    <row r="43" spans="2:13" x14ac:dyDescent="0.25">
      <c r="B43" s="73" t="s">
        <v>34</v>
      </c>
    </row>
  </sheetData>
  <sheetProtection selectLockedCells="1"/>
  <mergeCells count="42">
    <mergeCell ref="J16:L16"/>
    <mergeCell ref="J17:L17"/>
    <mergeCell ref="J18:L18"/>
    <mergeCell ref="J9:L9"/>
    <mergeCell ref="H14:H15"/>
    <mergeCell ref="J10:L10"/>
    <mergeCell ref="J11:L11"/>
    <mergeCell ref="J15:L15"/>
    <mergeCell ref="J14:M14"/>
    <mergeCell ref="J4:M4"/>
    <mergeCell ref="J5:L5"/>
    <mergeCell ref="J6:L6"/>
    <mergeCell ref="J7:L7"/>
    <mergeCell ref="J8:L8"/>
    <mergeCell ref="B5:C5"/>
    <mergeCell ref="E5:F5"/>
    <mergeCell ref="D16:E16"/>
    <mergeCell ref="D23:E23"/>
    <mergeCell ref="B7:C7"/>
    <mergeCell ref="B8:C8"/>
    <mergeCell ref="B9:C9"/>
    <mergeCell ref="B10:C10"/>
    <mergeCell ref="E7:F7"/>
    <mergeCell ref="E8:F8"/>
    <mergeCell ref="E9:F9"/>
    <mergeCell ref="E10:F10"/>
    <mergeCell ref="B12:C12"/>
    <mergeCell ref="E12:F12"/>
    <mergeCell ref="D17:E17"/>
    <mergeCell ref="D18:E18"/>
    <mergeCell ref="J28:M33"/>
    <mergeCell ref="D19:E19"/>
    <mergeCell ref="D20:E20"/>
    <mergeCell ref="D21:E21"/>
    <mergeCell ref="J21:L21"/>
    <mergeCell ref="J19:L19"/>
    <mergeCell ref="D26:E26"/>
    <mergeCell ref="D22:E22"/>
    <mergeCell ref="J20:L20"/>
    <mergeCell ref="J24:M24"/>
    <mergeCell ref="J25:M25"/>
    <mergeCell ref="D24:E24"/>
  </mergeCells>
  <phoneticPr fontId="7" type="noConversion"/>
  <conditionalFormatting sqref="H16:H23 H25">
    <cfRule type="cellIs" dxfId="9" priority="17" stopIfTrue="1" operator="equal">
      <formula>0</formula>
    </cfRule>
  </conditionalFormatting>
  <conditionalFormatting sqref="B5:C5 E5:G5 G16:G26 B8:G10 B12:G12 B11">
    <cfRule type="cellIs" dxfId="8" priority="9" operator="equal">
      <formula>0</formula>
    </cfRule>
  </conditionalFormatting>
  <conditionalFormatting sqref="B8">
    <cfRule type="cellIs" dxfId="7" priority="8" operator="equal">
      <formula>"A"</formula>
    </cfRule>
  </conditionalFormatting>
  <conditionalFormatting sqref="B9:C9">
    <cfRule type="cellIs" dxfId="6" priority="7" stopIfTrue="1" operator="equal">
      <formula>"B"</formula>
    </cfRule>
  </conditionalFormatting>
  <conditionalFormatting sqref="B10:C10 B12:C12 B11">
    <cfRule type="cellIs" dxfId="5" priority="6" stopIfTrue="1" operator="equal">
      <formula>"C"</formula>
    </cfRule>
  </conditionalFormatting>
  <conditionalFormatting sqref="E8:F8">
    <cfRule type="cellIs" dxfId="4" priority="5" stopIfTrue="1" operator="equal">
      <formula>"a"</formula>
    </cfRule>
  </conditionalFormatting>
  <conditionalFormatting sqref="E9:F9">
    <cfRule type="cellIs" dxfId="3" priority="4" stopIfTrue="1" operator="equal">
      <formula>"b"</formula>
    </cfRule>
  </conditionalFormatting>
  <conditionalFormatting sqref="E10:F10 E12:F12">
    <cfRule type="cellIs" dxfId="2" priority="3" stopIfTrue="1" operator="equal">
      <formula>"c"</formula>
    </cfRule>
  </conditionalFormatting>
  <conditionalFormatting sqref="H24">
    <cfRule type="cellIs" dxfId="1" priority="2" stopIfTrue="1" operator="equal">
      <formula>0</formula>
    </cfRule>
  </conditionalFormatting>
  <conditionalFormatting sqref="H26">
    <cfRule type="cellIs" dxfId="0" priority="1" stopIfTrue="1" operator="equal">
      <formula>0</formula>
    </cfRule>
  </conditionalFormatting>
  <dataValidations count="1">
    <dataValidation type="whole" allowBlank="1" showInputMessage="1" showErrorMessage="1" errorTitle="Invalid score" error="No such score. Try again." sqref="G16:G26" xr:uid="{00000000-0002-0000-0000-000000000000}">
      <formula1>-26</formula1>
      <formula2>26</formula2>
    </dataValidation>
  </dataValidations>
  <hyperlinks>
    <hyperlink ref="B43" r:id="rId1" tooltip="mailto:results@croquetnw.co.uk" display="mailto:results@croquetnw.co.uk" xr:uid="{BCC51280-A423-A248-9D69-904E20F5684E}"/>
  </hyperlinks>
  <pageMargins left="0.75" right="0.75" top="1" bottom="1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B1:H27"/>
  <sheetViews>
    <sheetView showGridLines="0" showRowColHeaders="0" workbookViewId="0">
      <selection activeCell="B6" sqref="B6:B20"/>
    </sheetView>
  </sheetViews>
  <sheetFormatPr defaultColWidth="8.85546875" defaultRowHeight="15.75" x14ac:dyDescent="0.25"/>
  <cols>
    <col min="1" max="1" width="4.7109375" style="65" customWidth="1"/>
    <col min="2" max="2" width="50.7109375" style="65" customWidth="1"/>
    <col min="3" max="3" width="26.85546875" style="65" customWidth="1"/>
    <col min="4" max="4" width="8.85546875" style="65"/>
    <col min="5" max="5" width="7.7109375" style="65" customWidth="1"/>
    <col min="6" max="6" width="26.85546875" style="65" customWidth="1"/>
    <col min="7" max="7" width="10.7109375" style="65" bestFit="1" customWidth="1"/>
    <col min="8" max="8" width="4.7109375" style="66" customWidth="1"/>
    <col min="9" max="9" width="13.140625" style="65" customWidth="1"/>
    <col min="10" max="12" width="7.42578125" style="65" customWidth="1"/>
    <col min="13" max="13" width="13.140625" style="65" customWidth="1"/>
    <col min="14" max="16" width="7.42578125" style="65" customWidth="1"/>
    <col min="17" max="16384" width="8.85546875" style="65"/>
  </cols>
  <sheetData>
    <row r="1" spans="2:8" x14ac:dyDescent="0.25">
      <c r="B1" s="64" t="s">
        <v>29</v>
      </c>
    </row>
    <row r="2" spans="2:8" x14ac:dyDescent="0.25">
      <c r="H2" s="65"/>
    </row>
    <row r="3" spans="2:8" x14ac:dyDescent="0.25">
      <c r="B3" s="65" t="s">
        <v>30</v>
      </c>
      <c r="H3" s="65"/>
    </row>
    <row r="4" spans="2:8" x14ac:dyDescent="0.25">
      <c r="B4" s="65" t="s">
        <v>31</v>
      </c>
      <c r="H4" s="65"/>
    </row>
    <row r="5" spans="2:8" x14ac:dyDescent="0.25">
      <c r="H5" s="65"/>
    </row>
    <row r="6" spans="2:8" x14ac:dyDescent="0.25">
      <c r="B6" s="69" t="str">
        <f>"NWFCC B Level Match  - "&amp;IF('Score sheet'!$B$5&lt;&gt;0,'Score sheet'!$B$5&amp;" v "&amp;'Score sheet'!$E$5,"")</f>
        <v xml:space="preserve">NWFCC B Level Match  - </v>
      </c>
      <c r="H6" s="65"/>
    </row>
    <row r="7" spans="2:8" x14ac:dyDescent="0.25">
      <c r="B7" s="70" t="s">
        <v>32</v>
      </c>
      <c r="H7" s="65"/>
    </row>
    <row r="8" spans="2:8" x14ac:dyDescent="0.25">
      <c r="B8" s="69" t="str">
        <f>"Date "&amp;IF('Score sheet'!$G$5&lt;&gt;0,TEXT('Score sheet'!$G$5,"d Mmmm yyyy"),"")</f>
        <v xml:space="preserve">Date </v>
      </c>
      <c r="H8" s="65"/>
    </row>
    <row r="9" spans="2:8" x14ac:dyDescent="0.25">
      <c r="B9" s="69" t="str">
        <f>"Winner - "&amp;IF('Score sheet'!$D$29&gt;'Score sheet'!$G$29,'Score sheet'!$B$5,'Score sheet'!$E$5)</f>
        <v xml:space="preserve">Winner - </v>
      </c>
      <c r="H9" s="65"/>
    </row>
    <row r="10" spans="2:8" x14ac:dyDescent="0.25">
      <c r="B10" s="68"/>
      <c r="H10" s="65"/>
    </row>
    <row r="11" spans="2:8" x14ac:dyDescent="0.25">
      <c r="B11" s="68" t="s">
        <v>28</v>
      </c>
      <c r="H11" s="65"/>
    </row>
    <row r="12" spans="2:8" x14ac:dyDescent="0.25">
      <c r="B12" s="67" t="str">
        <f>"1 "&amp;IF(Game1&lt;&gt;0,IF(Game1&gt;0,Player_1&amp;" beat "&amp;Player_6,Player_6&amp;" beat "&amp;Player_1)&amp;" +"&amp;ABS(Game1)&amp;'Score sheet'!$H$14,"")</f>
        <v xml:space="preserve">1 </v>
      </c>
      <c r="H12" s="65"/>
    </row>
    <row r="13" spans="2:8" x14ac:dyDescent="0.25">
      <c r="B13" s="67" t="str">
        <f>"2 "&amp;IF(Game2&lt;&gt;0,IF(Game2&gt;0,Player_2&amp;" beat "&amp;Player_4,Player_4&amp;" beat "&amp;Player_2)&amp;" +"&amp;ABS(Game2)&amp;'Score sheet'!$H$16,"")</f>
        <v xml:space="preserve">2 </v>
      </c>
      <c r="H13" s="65"/>
    </row>
    <row r="14" spans="2:8" x14ac:dyDescent="0.25">
      <c r="B14" s="67" t="str">
        <f>"3 "&amp;IF(Game3&lt;&gt;0,IF(Game3&gt;0,Player_3&amp;" beat "&amp;Player_5,Player_5&amp;" beat "&amp;Player_3)&amp;" +"&amp;ABS(Game3)&amp;'Score sheet'!$H$17,"")</f>
        <v xml:space="preserve">3 </v>
      </c>
      <c r="H14" s="65"/>
    </row>
    <row r="15" spans="2:8" x14ac:dyDescent="0.25">
      <c r="B15" s="67" t="str">
        <f>"4 "&amp;IF(Game4&lt;&gt;0,IF(Game4&gt;0,Player_1&amp;" beat "&amp;Player_5,Player_5&amp;" beat "&amp;Player_1)&amp;" +"&amp;ABS(Game4)&amp;'Score sheet'!$H$18,"")</f>
        <v xml:space="preserve">4 </v>
      </c>
      <c r="H15" s="65"/>
    </row>
    <row r="16" spans="2:8" x14ac:dyDescent="0.25">
      <c r="B16" s="67" t="str">
        <f>"5 "&amp;IF(Game5&lt;&gt;0,IF(Game5&gt;0,Player_2&amp;" beat "&amp;Player_6,Player_6&amp;" beat "&amp;Player_2)&amp;" +"&amp;ABS(Game5)&amp;'Score sheet'!$H$19,"")</f>
        <v xml:space="preserve">5 </v>
      </c>
      <c r="H16" s="65"/>
    </row>
    <row r="17" spans="2:8" x14ac:dyDescent="0.25">
      <c r="B17" s="67" t="str">
        <f>"6 "&amp;IF(Game6&lt;&gt;0,IF(Game6&gt;0,Player_3&amp;" beat "&amp;Player_4,Player_4&amp;" beat "&amp;Player_3)&amp;" +"&amp;ABS(Game6)&amp;'Score sheet'!$H$20,"")</f>
        <v xml:space="preserve">6 </v>
      </c>
      <c r="H17" s="65"/>
    </row>
    <row r="18" spans="2:8" x14ac:dyDescent="0.25">
      <c r="B18" s="67" t="str">
        <f>"7 "&amp;IF(Game7&lt;&gt;0,IF(Game7&gt;0,Player_1&amp;" beat "&amp;Player_4,Player_4&amp;" beat "&amp;Player_1)&amp;" +"&amp;ABS(Game7)&amp;'Score sheet'!$H$21,"")</f>
        <v xml:space="preserve">7 </v>
      </c>
      <c r="H18" s="65"/>
    </row>
    <row r="19" spans="2:8" x14ac:dyDescent="0.25">
      <c r="B19" s="67" t="str">
        <f>"8 "&amp;IF(Game8&lt;&gt;0,IF(Game8&gt;0,Player_2&amp;" beat "&amp;Player_5,Player_5&amp;" beat "&amp;Player_2)&amp;" +"&amp;ABS(Game8)&amp;'Score sheet'!$H$22,"")</f>
        <v xml:space="preserve">8 </v>
      </c>
      <c r="H19" s="65"/>
    </row>
    <row r="20" spans="2:8" x14ac:dyDescent="0.25">
      <c r="B20" s="67" t="str">
        <f>"9 "&amp;IF(Game9&lt;&gt;0,IF(Game9&gt;0,Player_3&amp;" beat "&amp;Player_6,Player_6&amp;" beat "&amp;Player_3)&amp;" +"&amp;ABS(Game9)&amp;'Score sheet'!$H$23,"")</f>
        <v xml:space="preserve">9 </v>
      </c>
      <c r="H20" s="65"/>
    </row>
    <row r="21" spans="2:8" x14ac:dyDescent="0.25">
      <c r="H21" s="65"/>
    </row>
    <row r="22" spans="2:8" x14ac:dyDescent="0.25">
      <c r="F22" s="66"/>
      <c r="H22" s="65"/>
    </row>
    <row r="23" spans="2:8" x14ac:dyDescent="0.25">
      <c r="F23" s="66"/>
      <c r="H23" s="65"/>
    </row>
    <row r="24" spans="2:8" x14ac:dyDescent="0.25">
      <c r="F24" s="66"/>
      <c r="H24" s="65"/>
    </row>
    <row r="25" spans="2:8" x14ac:dyDescent="0.25">
      <c r="F25" s="66"/>
      <c r="H25" s="65"/>
    </row>
    <row r="26" spans="2:8" x14ac:dyDescent="0.25">
      <c r="F26" s="66"/>
      <c r="H26" s="65"/>
    </row>
    <row r="27" spans="2:8" x14ac:dyDescent="0.25">
      <c r="F27" s="66"/>
      <c r="H27" s="65"/>
    </row>
  </sheetData>
  <sheetProtection sheet="1" objects="1" scenarios="1"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62"/>
  </sheetPr>
  <dimension ref="B1:AE48"/>
  <sheetViews>
    <sheetView showGridLines="0" showRowColHeaders="0" workbookViewId="0">
      <selection activeCell="B26" sqref="B26"/>
    </sheetView>
  </sheetViews>
  <sheetFormatPr defaultColWidth="9" defaultRowHeight="12.75" x14ac:dyDescent="0.2"/>
  <cols>
    <col min="1" max="1" width="5.28515625" style="2" customWidth="1"/>
    <col min="2" max="2" width="6" style="2" customWidth="1"/>
    <col min="3" max="3" width="6.28515625" style="2" customWidth="1"/>
    <col min="4" max="4" width="5.7109375" style="2" customWidth="1"/>
    <col min="5" max="5" width="5.28515625" style="2" customWidth="1"/>
    <col min="6" max="6" width="8.42578125" style="2" customWidth="1"/>
    <col min="7" max="7" width="5.28515625" style="2" customWidth="1"/>
    <col min="8" max="8" width="4.42578125" style="2" customWidth="1"/>
    <col min="9" max="10" width="5.28515625" style="2" customWidth="1"/>
    <col min="11" max="11" width="11.85546875" style="2" bestFit="1" customWidth="1"/>
    <col min="12" max="12" width="9.140625" style="2" bestFit="1" customWidth="1"/>
    <col min="13" max="31" width="5.28515625" style="2" customWidth="1"/>
    <col min="32" max="255" width="9" style="2" bestFit="1" customWidth="1"/>
    <col min="256" max="16384" width="9" style="2"/>
  </cols>
  <sheetData>
    <row r="1" spans="2:31" ht="13.5" thickBot="1" x14ac:dyDescent="0.25"/>
    <row r="2" spans="2:31" x14ac:dyDescent="0.2">
      <c r="B2" s="3" t="s">
        <v>3</v>
      </c>
      <c r="C2" s="4" t="s">
        <v>4</v>
      </c>
      <c r="D2" s="5" t="s">
        <v>5</v>
      </c>
      <c r="E2" s="6"/>
      <c r="F2" s="7" t="s">
        <v>6</v>
      </c>
      <c r="G2" s="8" t="s">
        <v>7</v>
      </c>
      <c r="H2" s="9" t="s">
        <v>8</v>
      </c>
      <c r="I2" s="6"/>
      <c r="J2" s="6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1" x14ac:dyDescent="0.2">
      <c r="B3" s="11">
        <v>-3</v>
      </c>
      <c r="C3" s="2">
        <f t="shared" ref="C3:C31" si="0">C4+50*D3</f>
        <v>3050</v>
      </c>
      <c r="D3" s="12">
        <v>5</v>
      </c>
      <c r="F3" s="11">
        <v>-11</v>
      </c>
      <c r="G3" s="2">
        <v>-19</v>
      </c>
      <c r="H3" s="12">
        <f t="shared" ref="H3:H25" si="1">20+G3</f>
        <v>1</v>
      </c>
      <c r="K3" s="6"/>
      <c r="L3" s="6"/>
    </row>
    <row r="4" spans="2:31" x14ac:dyDescent="0.2">
      <c r="B4" s="11">
        <v>-2.5</v>
      </c>
      <c r="C4" s="2">
        <f t="shared" si="0"/>
        <v>2800</v>
      </c>
      <c r="D4" s="12">
        <v>4</v>
      </c>
      <c r="F4" s="11">
        <v>-10</v>
      </c>
      <c r="G4" s="2">
        <v>-18</v>
      </c>
      <c r="H4" s="12">
        <f t="shared" si="1"/>
        <v>2</v>
      </c>
      <c r="K4" s="10"/>
    </row>
    <row r="5" spans="2:31" x14ac:dyDescent="0.2">
      <c r="B5" s="11">
        <v>-2</v>
      </c>
      <c r="C5" s="2">
        <f t="shared" si="0"/>
        <v>2600</v>
      </c>
      <c r="D5" s="12">
        <v>4</v>
      </c>
      <c r="F5" s="11">
        <v>-9</v>
      </c>
      <c r="G5" s="2">
        <v>-18</v>
      </c>
      <c r="H5" s="12">
        <f t="shared" si="1"/>
        <v>2</v>
      </c>
      <c r="K5" s="10"/>
    </row>
    <row r="6" spans="2:31" x14ac:dyDescent="0.2">
      <c r="B6" s="11">
        <v>-1.5</v>
      </c>
      <c r="C6" s="2">
        <f t="shared" si="0"/>
        <v>2400</v>
      </c>
      <c r="D6" s="12">
        <v>3</v>
      </c>
      <c r="F6" s="11">
        <v>-8</v>
      </c>
      <c r="G6" s="2">
        <v>-17</v>
      </c>
      <c r="H6" s="12">
        <f t="shared" si="1"/>
        <v>3</v>
      </c>
      <c r="K6" s="10"/>
    </row>
    <row r="7" spans="2:31" x14ac:dyDescent="0.2">
      <c r="B7" s="11">
        <v>-1</v>
      </c>
      <c r="C7" s="2">
        <f t="shared" si="0"/>
        <v>2250</v>
      </c>
      <c r="D7" s="12">
        <v>3</v>
      </c>
      <c r="F7" s="11">
        <v>-7</v>
      </c>
      <c r="G7" s="2">
        <v>-17</v>
      </c>
      <c r="H7" s="12">
        <f t="shared" si="1"/>
        <v>3</v>
      </c>
      <c r="K7" s="10"/>
    </row>
    <row r="8" spans="2:31" x14ac:dyDescent="0.2">
      <c r="B8" s="11">
        <v>-0.5</v>
      </c>
      <c r="C8" s="2">
        <f t="shared" si="0"/>
        <v>2100</v>
      </c>
      <c r="D8" s="12">
        <v>2</v>
      </c>
      <c r="F8" s="11">
        <v>-6</v>
      </c>
      <c r="G8" s="2">
        <v>-16</v>
      </c>
      <c r="H8" s="12">
        <f t="shared" si="1"/>
        <v>4</v>
      </c>
      <c r="K8" s="10"/>
    </row>
    <row r="9" spans="2:31" x14ac:dyDescent="0.2">
      <c r="B9" s="11">
        <v>0</v>
      </c>
      <c r="C9" s="2">
        <f t="shared" si="0"/>
        <v>2000</v>
      </c>
      <c r="D9" s="12">
        <v>1</v>
      </c>
      <c r="F9" s="11">
        <v>-5</v>
      </c>
      <c r="G9" s="2">
        <v>-15</v>
      </c>
      <c r="H9" s="12">
        <f t="shared" si="1"/>
        <v>5</v>
      </c>
      <c r="K9" s="10"/>
    </row>
    <row r="10" spans="2:31" x14ac:dyDescent="0.2">
      <c r="B10" s="11">
        <v>0.5</v>
      </c>
      <c r="C10" s="2">
        <f t="shared" si="0"/>
        <v>1950</v>
      </c>
      <c r="D10" s="12">
        <v>1</v>
      </c>
      <c r="F10" s="11">
        <v>-4</v>
      </c>
      <c r="G10" s="2">
        <v>-14</v>
      </c>
      <c r="H10" s="12">
        <f t="shared" si="1"/>
        <v>6</v>
      </c>
      <c r="K10" s="10"/>
    </row>
    <row r="11" spans="2:31" x14ac:dyDescent="0.2">
      <c r="B11" s="11">
        <v>1</v>
      </c>
      <c r="C11" s="2">
        <f t="shared" si="0"/>
        <v>1900</v>
      </c>
      <c r="D11" s="12">
        <v>1</v>
      </c>
      <c r="F11" s="11">
        <v>-3</v>
      </c>
      <c r="G11" s="2">
        <v>-13</v>
      </c>
      <c r="H11" s="12">
        <f t="shared" si="1"/>
        <v>7</v>
      </c>
      <c r="K11" s="10"/>
    </row>
    <row r="12" spans="2:31" x14ac:dyDescent="0.2">
      <c r="B12" s="11">
        <v>1.5</v>
      </c>
      <c r="C12" s="2">
        <f t="shared" si="0"/>
        <v>1850</v>
      </c>
      <c r="D12" s="12">
        <v>1</v>
      </c>
      <c r="F12" s="11">
        <v>-2</v>
      </c>
      <c r="G12" s="2">
        <v>-12</v>
      </c>
      <c r="H12" s="12">
        <f t="shared" si="1"/>
        <v>8</v>
      </c>
      <c r="K12" s="10"/>
    </row>
    <row r="13" spans="2:31" x14ac:dyDescent="0.2">
      <c r="B13" s="11">
        <v>2</v>
      </c>
      <c r="C13" s="2">
        <f t="shared" si="0"/>
        <v>1800</v>
      </c>
      <c r="D13" s="12">
        <v>1</v>
      </c>
      <c r="F13" s="11">
        <v>-1</v>
      </c>
      <c r="G13" s="2">
        <v>-11</v>
      </c>
      <c r="H13" s="12">
        <f t="shared" si="1"/>
        <v>9</v>
      </c>
      <c r="K13" s="10"/>
    </row>
    <row r="14" spans="2:31" x14ac:dyDescent="0.2">
      <c r="B14" s="11">
        <v>2.5</v>
      </c>
      <c r="C14" s="2">
        <f t="shared" si="0"/>
        <v>1750</v>
      </c>
      <c r="D14" s="12">
        <v>1</v>
      </c>
      <c r="F14" s="11">
        <v>0</v>
      </c>
      <c r="G14" s="2">
        <v>-10</v>
      </c>
      <c r="H14" s="12">
        <f t="shared" si="1"/>
        <v>10</v>
      </c>
      <c r="K14" s="10"/>
    </row>
    <row r="15" spans="2:31" x14ac:dyDescent="0.2">
      <c r="B15" s="11">
        <v>3</v>
      </c>
      <c r="C15" s="2">
        <f t="shared" si="0"/>
        <v>1700</v>
      </c>
      <c r="D15" s="12">
        <v>1</v>
      </c>
      <c r="F15" s="11">
        <v>1</v>
      </c>
      <c r="G15" s="2">
        <v>-9</v>
      </c>
      <c r="H15" s="12">
        <f t="shared" si="1"/>
        <v>11</v>
      </c>
      <c r="K15" s="10"/>
    </row>
    <row r="16" spans="2:31" x14ac:dyDescent="0.2">
      <c r="B16" s="11">
        <v>3.5</v>
      </c>
      <c r="C16" s="2">
        <f t="shared" si="0"/>
        <v>1650</v>
      </c>
      <c r="D16" s="12">
        <v>1</v>
      </c>
      <c r="F16" s="11">
        <v>2</v>
      </c>
      <c r="G16" s="2">
        <v>-8</v>
      </c>
      <c r="H16" s="12">
        <f t="shared" si="1"/>
        <v>12</v>
      </c>
      <c r="K16" s="10"/>
    </row>
    <row r="17" spans="2:11" x14ac:dyDescent="0.2">
      <c r="B17" s="11">
        <v>4</v>
      </c>
      <c r="C17" s="2">
        <f t="shared" si="0"/>
        <v>1600</v>
      </c>
      <c r="D17" s="12">
        <v>1</v>
      </c>
      <c r="F17" s="11">
        <v>3</v>
      </c>
      <c r="G17" s="2">
        <v>-7</v>
      </c>
      <c r="H17" s="12">
        <f t="shared" si="1"/>
        <v>13</v>
      </c>
      <c r="K17" s="10"/>
    </row>
    <row r="18" spans="2:11" x14ac:dyDescent="0.2">
      <c r="B18" s="11">
        <v>4.5</v>
      </c>
      <c r="C18" s="2">
        <f t="shared" si="0"/>
        <v>1550</v>
      </c>
      <c r="D18" s="12">
        <v>1</v>
      </c>
      <c r="F18" s="11">
        <v>4</v>
      </c>
      <c r="G18" s="2">
        <v>-6</v>
      </c>
      <c r="H18" s="12">
        <f t="shared" si="1"/>
        <v>14</v>
      </c>
      <c r="K18" s="10"/>
    </row>
    <row r="19" spans="2:11" x14ac:dyDescent="0.2">
      <c r="B19" s="11">
        <v>5</v>
      </c>
      <c r="C19" s="2">
        <f t="shared" si="0"/>
        <v>1500</v>
      </c>
      <c r="D19" s="12">
        <v>1</v>
      </c>
      <c r="F19" s="11">
        <v>5</v>
      </c>
      <c r="G19" s="2">
        <v>-5</v>
      </c>
      <c r="H19" s="12">
        <f t="shared" si="1"/>
        <v>15</v>
      </c>
      <c r="K19" s="10"/>
    </row>
    <row r="20" spans="2:11" x14ac:dyDescent="0.2">
      <c r="B20" s="11">
        <v>6</v>
      </c>
      <c r="C20" s="2">
        <f t="shared" si="0"/>
        <v>1450</v>
      </c>
      <c r="D20" s="12">
        <v>1</v>
      </c>
      <c r="F20" s="11">
        <v>6</v>
      </c>
      <c r="G20" s="2">
        <v>-4</v>
      </c>
      <c r="H20" s="12">
        <f t="shared" si="1"/>
        <v>16</v>
      </c>
      <c r="K20" s="10"/>
    </row>
    <row r="21" spans="2:11" x14ac:dyDescent="0.2">
      <c r="B21" s="11">
        <v>7</v>
      </c>
      <c r="C21" s="2">
        <f t="shared" si="0"/>
        <v>1400</v>
      </c>
      <c r="D21" s="12">
        <v>1</v>
      </c>
      <c r="F21" s="11">
        <v>7</v>
      </c>
      <c r="G21" s="2">
        <v>-3</v>
      </c>
      <c r="H21" s="12">
        <f t="shared" si="1"/>
        <v>17</v>
      </c>
      <c r="K21" s="10"/>
    </row>
    <row r="22" spans="2:11" x14ac:dyDescent="0.2">
      <c r="B22" s="11">
        <v>8</v>
      </c>
      <c r="C22" s="2">
        <f t="shared" si="0"/>
        <v>1350</v>
      </c>
      <c r="D22" s="12">
        <v>1</v>
      </c>
      <c r="F22" s="11">
        <v>8</v>
      </c>
      <c r="G22" s="2">
        <v>-3</v>
      </c>
      <c r="H22" s="12">
        <f t="shared" si="1"/>
        <v>17</v>
      </c>
      <c r="K22" s="10"/>
    </row>
    <row r="23" spans="2:11" x14ac:dyDescent="0.2">
      <c r="B23" s="11">
        <v>9</v>
      </c>
      <c r="C23" s="2">
        <f t="shared" si="0"/>
        <v>1300</v>
      </c>
      <c r="D23" s="12">
        <v>1</v>
      </c>
      <c r="F23" s="11">
        <v>9</v>
      </c>
      <c r="G23" s="2">
        <v>-2</v>
      </c>
      <c r="H23" s="12">
        <f t="shared" si="1"/>
        <v>18</v>
      </c>
      <c r="K23" s="10"/>
    </row>
    <row r="24" spans="2:11" x14ac:dyDescent="0.2">
      <c r="B24" s="11">
        <v>10</v>
      </c>
      <c r="C24" s="2">
        <f t="shared" si="0"/>
        <v>1250</v>
      </c>
      <c r="D24" s="12">
        <v>1</v>
      </c>
      <c r="F24" s="11">
        <v>10</v>
      </c>
      <c r="G24" s="2">
        <v>-2</v>
      </c>
      <c r="H24" s="12">
        <f t="shared" si="1"/>
        <v>18</v>
      </c>
      <c r="K24" s="10"/>
    </row>
    <row r="25" spans="2:11" ht="13.5" thickBot="1" x14ac:dyDescent="0.25">
      <c r="B25" s="11">
        <v>11</v>
      </c>
      <c r="C25" s="2">
        <f t="shared" si="0"/>
        <v>1200</v>
      </c>
      <c r="D25" s="12">
        <v>1</v>
      </c>
      <c r="F25" s="13">
        <v>11</v>
      </c>
      <c r="G25" s="14">
        <v>-1</v>
      </c>
      <c r="H25" s="15">
        <f t="shared" si="1"/>
        <v>19</v>
      </c>
      <c r="K25" s="10"/>
    </row>
    <row r="26" spans="2:11" x14ac:dyDescent="0.2">
      <c r="B26" s="11">
        <v>12</v>
      </c>
      <c r="C26" s="2">
        <f t="shared" si="0"/>
        <v>1150</v>
      </c>
      <c r="D26" s="12">
        <v>1</v>
      </c>
      <c r="K26" s="10"/>
    </row>
    <row r="27" spans="2:11" x14ac:dyDescent="0.2">
      <c r="B27" s="11">
        <v>14</v>
      </c>
      <c r="C27" s="2">
        <f t="shared" si="0"/>
        <v>1100</v>
      </c>
      <c r="D27" s="12">
        <v>1</v>
      </c>
      <c r="K27" s="10"/>
    </row>
    <row r="28" spans="2:11" x14ac:dyDescent="0.2">
      <c r="B28" s="11">
        <v>16</v>
      </c>
      <c r="C28" s="2">
        <f t="shared" si="0"/>
        <v>1050</v>
      </c>
      <c r="D28" s="12">
        <v>1</v>
      </c>
      <c r="K28" s="10"/>
    </row>
    <row r="29" spans="2:11" x14ac:dyDescent="0.2">
      <c r="B29" s="11">
        <v>18</v>
      </c>
      <c r="C29" s="2">
        <f t="shared" si="0"/>
        <v>1000</v>
      </c>
      <c r="D29" s="12">
        <v>1</v>
      </c>
      <c r="K29" s="10"/>
    </row>
    <row r="30" spans="2:11" x14ac:dyDescent="0.2">
      <c r="B30" s="11">
        <v>20</v>
      </c>
      <c r="C30" s="2">
        <f t="shared" si="0"/>
        <v>950</v>
      </c>
      <c r="D30" s="12">
        <v>1</v>
      </c>
      <c r="K30" s="10"/>
    </row>
    <row r="31" spans="2:11" x14ac:dyDescent="0.2">
      <c r="B31" s="11">
        <v>22</v>
      </c>
      <c r="C31" s="2">
        <f t="shared" si="0"/>
        <v>900</v>
      </c>
      <c r="D31" s="12">
        <v>1</v>
      </c>
      <c r="K31" s="10"/>
    </row>
    <row r="32" spans="2:11" ht="13.5" thickBot="1" x14ac:dyDescent="0.25">
      <c r="B32" s="13">
        <v>24</v>
      </c>
      <c r="C32" s="14">
        <v>850</v>
      </c>
      <c r="D32" s="15">
        <v>1</v>
      </c>
      <c r="K32" s="10"/>
    </row>
    <row r="33" spans="11:11" x14ac:dyDescent="0.2">
      <c r="K33" s="10"/>
    </row>
    <row r="34" spans="11:11" x14ac:dyDescent="0.2">
      <c r="K34" s="10"/>
    </row>
    <row r="35" spans="11:11" x14ac:dyDescent="0.2">
      <c r="K35" s="10"/>
    </row>
    <row r="36" spans="11:11" x14ac:dyDescent="0.2">
      <c r="K36" s="10"/>
    </row>
    <row r="37" spans="11:11" x14ac:dyDescent="0.2">
      <c r="K37" s="10"/>
    </row>
    <row r="38" spans="11:11" x14ac:dyDescent="0.2">
      <c r="K38" s="10"/>
    </row>
    <row r="39" spans="11:11" x14ac:dyDescent="0.2">
      <c r="K39" s="10"/>
    </row>
    <row r="40" spans="11:11" x14ac:dyDescent="0.2">
      <c r="K40" s="10"/>
    </row>
    <row r="41" spans="11:11" x14ac:dyDescent="0.2">
      <c r="K41" s="10"/>
    </row>
    <row r="42" spans="11:11" x14ac:dyDescent="0.2">
      <c r="K42" s="10"/>
    </row>
    <row r="43" spans="11:11" x14ac:dyDescent="0.2">
      <c r="K43" s="10"/>
    </row>
    <row r="44" spans="11:11" x14ac:dyDescent="0.2">
      <c r="K44" s="10"/>
    </row>
    <row r="45" spans="11:11" x14ac:dyDescent="0.2">
      <c r="K45" s="10"/>
    </row>
    <row r="46" spans="11:11" x14ac:dyDescent="0.2">
      <c r="K46" s="10"/>
    </row>
    <row r="47" spans="11:11" x14ac:dyDescent="0.2">
      <c r="K47" s="10"/>
    </row>
    <row r="48" spans="11:11" x14ac:dyDescent="0.2">
      <c r="K48" s="10"/>
    </row>
  </sheetData>
  <sheetProtection sheet="1" objects="1" scenarios="1" selectLockedCells="1" selectUnlockedCell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Score sheet</vt:lpstr>
      <vt:lpstr>Results for rankings</vt:lpstr>
      <vt:lpstr>HCTables</vt:lpstr>
      <vt:lpstr>Game1</vt:lpstr>
      <vt:lpstr>Game2</vt:lpstr>
      <vt:lpstr>Game3</vt:lpstr>
      <vt:lpstr>Game4</vt:lpstr>
      <vt:lpstr>Game5</vt:lpstr>
      <vt:lpstr>Game6</vt:lpstr>
      <vt:lpstr>Game7</vt:lpstr>
      <vt:lpstr>Game8</vt:lpstr>
      <vt:lpstr>Game9</vt:lpstr>
      <vt:lpstr>Handicaps</vt:lpstr>
      <vt:lpstr>HcIndex</vt:lpstr>
      <vt:lpstr>Hcp_1</vt:lpstr>
      <vt:lpstr>Hcp_2</vt:lpstr>
      <vt:lpstr>Hcp_3</vt:lpstr>
      <vt:lpstr>Hcp_4</vt:lpstr>
      <vt:lpstr>Hcp_5</vt:lpstr>
      <vt:lpstr>Hcp_6</vt:lpstr>
      <vt:lpstr>Hpoints</vt:lpstr>
      <vt:lpstr>Player_1</vt:lpstr>
      <vt:lpstr>Player_2</vt:lpstr>
      <vt:lpstr>Player_3</vt:lpstr>
      <vt:lpstr>Player_4</vt:lpstr>
      <vt:lpstr>Player_5</vt:lpstr>
      <vt:lpstr>Player_6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Owner</cp:lastModifiedBy>
  <dcterms:created xsi:type="dcterms:W3CDTF">2009-04-15T20:16:29Z</dcterms:created>
  <dcterms:modified xsi:type="dcterms:W3CDTF">2023-03-24T16:35:09Z</dcterms:modified>
</cp:coreProperties>
</file>